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5075" windowHeight="9210" activeTab="0"/>
  </bookViews>
  <sheets>
    <sheet name="UnosPodataka" sheetId="1" r:id="rId1"/>
    <sheet name="Proracun" sheetId="2" state="veryHidden" r:id="rId2"/>
    <sheet name="Rezultat" sheetId="3" r:id="rId3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D5" authorId="0">
      <text>
        <r>
          <rPr>
            <b/>
            <sz val="8"/>
            <rFont val="Tahoma"/>
            <family val="2"/>
          </rPr>
          <t>Naziv vrste drveća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sz val="8"/>
            <rFont val="Tahoma"/>
            <family val="0"/>
          </rPr>
          <t xml:space="preserve">Dužina krune u odnosu na visinu stabla (vrednosti se unose kao decimalni broj do od 0,1 do 1,0)
</t>
        </r>
      </text>
    </comment>
    <comment ref="E9" authorId="0">
      <text>
        <r>
          <rPr>
            <sz val="8"/>
            <rFont val="Tahoma"/>
            <family val="0"/>
          </rPr>
          <t xml:space="preserve">Prečnik (širina) krune u odnosu na njenu dužinu (unosi se kao decimalni broj do 1,0)
</t>
        </r>
      </text>
    </comment>
    <comment ref="E15" authorId="0">
      <text>
        <r>
          <rPr>
            <sz val="8"/>
            <rFont val="Tahoma"/>
            <family val="0"/>
          </rPr>
          <t xml:space="preserve">Uneti odgovarajuću vrednost u zavisnosti od vrste drveća
</t>
        </r>
      </text>
    </comment>
    <comment ref="E19" authorId="0">
      <text>
        <r>
          <rPr>
            <sz val="8"/>
            <rFont val="Tahoma"/>
            <family val="0"/>
          </rPr>
          <t xml:space="preserve">Uneti odgovarajuću vrednost u zavisnosti od vrste drveća
</t>
        </r>
      </text>
    </comment>
    <comment ref="E5" authorId="0">
      <text>
        <r>
          <rPr>
            <b/>
            <sz val="8"/>
            <rFont val="Tahoma"/>
            <family val="0"/>
          </rPr>
          <t>Šifra vrste drveća
ako je četinar - uneti br. 1</t>
        </r>
      </text>
    </comment>
    <comment ref="E6" authorId="0">
      <text>
        <r>
          <rPr>
            <b/>
            <sz val="8"/>
            <rFont val="Tahoma"/>
            <family val="0"/>
          </rPr>
          <t xml:space="preserve">Prsni precnik stabla 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0"/>
          </rPr>
          <t>Ukupna visina stabla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sz val="8"/>
            <rFont val="Tahoma"/>
            <family val="2"/>
          </rPr>
          <t>Uneti odgovarajućiu vrednost koja iznosi  3 do 6 m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sz val="8"/>
            <rFont val="Tahoma"/>
            <family val="2"/>
          </rPr>
          <t>Uneti brzinu vetra na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standardnoj visini merenja od 10m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x</author>
    <author>SF8</author>
  </authors>
  <commentList>
    <comment ref="D5" authorId="0">
      <text>
        <r>
          <rPr>
            <b/>
            <sz val="8"/>
            <rFont val="Tahoma"/>
            <family val="2"/>
          </rPr>
          <t>Naziv vrste drveća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Šifra vrste drveća
ako je četinar - uneti br. 1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Šifra vrste drveća
ako je lišćar - uneti br. 2
</t>
        </r>
        <r>
          <rPr>
            <sz val="8"/>
            <rFont val="Tahoma"/>
            <family val="0"/>
          </rPr>
          <t xml:space="preserve">
</t>
        </r>
      </text>
    </comment>
    <comment ref="D6" authorId="1">
      <text>
        <r>
          <rPr>
            <b/>
            <sz val="8"/>
            <rFont val="Tahoma"/>
            <family val="0"/>
          </rPr>
          <t xml:space="preserve">Prsni precnik stabla 
</t>
        </r>
      </text>
    </comment>
    <comment ref="E6" authorId="0">
      <text>
        <r>
          <rPr>
            <b/>
            <sz val="8"/>
            <rFont val="Tahoma"/>
            <family val="0"/>
          </rPr>
          <t xml:space="preserve">Prsni precnik stabla </t>
        </r>
        <r>
          <rPr>
            <sz val="8"/>
            <rFont val="Tahoma"/>
            <family val="0"/>
          </rPr>
          <t xml:space="preserve">
</t>
        </r>
      </text>
    </comment>
    <comment ref="D7" authorId="1">
      <text>
        <r>
          <rPr>
            <b/>
            <sz val="8"/>
            <rFont val="Tahoma"/>
            <family val="0"/>
          </rPr>
          <t>Ukupna visina stabla</t>
        </r>
      </text>
    </comment>
    <comment ref="E7" authorId="0">
      <text>
        <r>
          <rPr>
            <b/>
            <sz val="8"/>
            <rFont val="Tahoma"/>
            <family val="0"/>
          </rPr>
          <t>Ukupna visina stabla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sz val="8"/>
            <rFont val="Tahoma"/>
            <family val="0"/>
          </rPr>
          <t xml:space="preserve">Dužina krune u odnosu na visinu stabla (vrednosti se unose kao decimalni broj do od 0,1 do 1,0)
</t>
        </r>
      </text>
    </comment>
    <comment ref="E9" authorId="0">
      <text>
        <r>
          <rPr>
            <sz val="8"/>
            <rFont val="Tahoma"/>
            <family val="0"/>
          </rPr>
          <t xml:space="preserve">Prečnik (širina) krune u odnosu na njenu dužinu (unosi se kao decimalni broj do 1,0)
</t>
        </r>
      </text>
    </comment>
    <comment ref="D11" authorId="1">
      <text>
        <r>
          <rPr>
            <b/>
            <sz val="8"/>
            <rFont val="Tahoma"/>
            <family val="0"/>
          </rPr>
          <t>Uneti brzinu vetra na standardnoj visini merenja od 10m</t>
        </r>
      </text>
    </comment>
    <comment ref="E11" authorId="0">
      <text>
        <r>
          <rPr>
            <sz val="8"/>
            <rFont val="Tahoma"/>
            <family val="2"/>
          </rPr>
          <t>Uneti brzinu vetra na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standardnoj visini merenja od 10m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sz val="8"/>
            <rFont val="Tahoma"/>
            <family val="2"/>
          </rPr>
          <t>Uneti odgovarajućiu vrednost koja iznosi  3 do 6 m</t>
        </r>
        <r>
          <rPr>
            <sz val="8"/>
            <rFont val="Tahoma"/>
            <family val="0"/>
          </rPr>
          <t xml:space="preserve">
</t>
        </r>
      </text>
    </comment>
    <comment ref="E15" authorId="0">
      <text>
        <r>
          <rPr>
            <sz val="8"/>
            <rFont val="Tahoma"/>
            <family val="0"/>
          </rPr>
          <t xml:space="preserve">Uneti odgovarajuću vrednost u zavisnosti od vrste drveća
</t>
        </r>
      </text>
    </comment>
    <comment ref="E19" authorId="0">
      <text>
        <r>
          <rPr>
            <sz val="8"/>
            <rFont val="Tahoma"/>
            <family val="0"/>
          </rPr>
          <t xml:space="preserve">Uneti odgovarajuću vrednost u zavisnosti od vrste drveća
</t>
        </r>
      </text>
    </comment>
    <comment ref="M25" authorId="1">
      <text>
        <r>
          <rPr>
            <b/>
            <sz val="8"/>
            <rFont val="Tahoma"/>
            <family val="0"/>
          </rPr>
          <t xml:space="preserve">Ako je četinar onda je M22, a ako je lišćar onda je M23
</t>
        </r>
      </text>
    </comment>
    <comment ref="I49" authorId="1">
      <text>
        <r>
          <rPr>
            <sz val="8"/>
            <rFont val="Tahoma"/>
            <family val="0"/>
          </rPr>
          <t xml:space="preserve">Uneti vrednost u zavisnosti od vrste drveta (kolone M43-M46)
</t>
        </r>
      </text>
    </comment>
  </commentList>
</comments>
</file>

<file path=xl/sharedStrings.xml><?xml version="1.0" encoding="utf-8"?>
<sst xmlns="http://schemas.openxmlformats.org/spreadsheetml/2006/main" count="146" uniqueCount="100">
  <si>
    <t xml:space="preserve">Vrsta drveta </t>
  </si>
  <si>
    <t>Visina stabla (m)</t>
  </si>
  <si>
    <t>Dužina krune (m)</t>
  </si>
  <si>
    <t>Prečnik krune (m)</t>
  </si>
  <si>
    <t>Max brzina vetra (m/sec)</t>
  </si>
  <si>
    <t>Stepen stabilnosti (Sst)=M/W kg/cm2     =</t>
  </si>
  <si>
    <t>Otpornost stabala prema vetru</t>
  </si>
  <si>
    <t>(O)</t>
  </si>
  <si>
    <t>Sst =</t>
  </si>
  <si>
    <t>kg/cm2</t>
  </si>
  <si>
    <t>Obrtni moment sile vetra (M)=R * L</t>
  </si>
  <si>
    <t>M =</t>
  </si>
  <si>
    <t>četinari</t>
  </si>
  <si>
    <t>R =</t>
  </si>
  <si>
    <t>kg</t>
  </si>
  <si>
    <t>lisćari</t>
  </si>
  <si>
    <t>L =</t>
  </si>
  <si>
    <t>m</t>
  </si>
  <si>
    <t>Koeficijent otpora stabla C= 0.55-0.65(sm, jl, bk)</t>
  </si>
  <si>
    <t>C =</t>
  </si>
  <si>
    <t>C= 0.46-0.55 (bor, hr, ariš)</t>
  </si>
  <si>
    <t>C= 0.40-0.45 (brza, jasika, ariš)</t>
  </si>
  <si>
    <t>Površina vertik. profila krune (za piram. kao jednakokraki torugao   S= a*h/2</t>
  </si>
  <si>
    <t>S=</t>
  </si>
  <si>
    <t>m2</t>
  </si>
  <si>
    <t>za ovalnu kao elipsa)</t>
  </si>
  <si>
    <t>S= (d1*d2*3,14)/4</t>
  </si>
  <si>
    <t>Dužina krune Hk=1/3H</t>
  </si>
  <si>
    <t>Hk =</t>
  </si>
  <si>
    <t>Širina krune Dk=0.5Hk</t>
  </si>
  <si>
    <t xml:space="preserve">Dk = </t>
  </si>
  <si>
    <t>Gustina vazduha p=1,225 kg/m3</t>
  </si>
  <si>
    <t>p =</t>
  </si>
  <si>
    <t>kg/m3</t>
  </si>
  <si>
    <t xml:space="preserve">W = </t>
  </si>
  <si>
    <t>cm2</t>
  </si>
  <si>
    <t>Visina sredine krune Hsk = H - Hk/2</t>
  </si>
  <si>
    <t>Hsk =</t>
  </si>
  <si>
    <t>m/sec</t>
  </si>
  <si>
    <t>Otpornost stabala odredjenih vrsta (O)   - kritične vrednosti       B.bor - 420 kg/cm/2</t>
  </si>
  <si>
    <t xml:space="preserve">           Smrca - 370 kg/cm/3</t>
  </si>
  <si>
    <t>kg/cm3</t>
  </si>
  <si>
    <t xml:space="preserve">           Hrast  -  576 kg/cm/3</t>
  </si>
  <si>
    <t>kg/cm4</t>
  </si>
  <si>
    <t xml:space="preserve">           Bukva - 548 kg/cm/3</t>
  </si>
  <si>
    <t>kg/cm5</t>
  </si>
  <si>
    <t>Prečnik stabla na kome trpi najveći pririsak  - može doći do preloma</t>
  </si>
  <si>
    <t>D prel.=</t>
  </si>
  <si>
    <t>cm</t>
  </si>
  <si>
    <t>Pad prečnika f = Dst/Hst (cm/m)</t>
  </si>
  <si>
    <t>f =</t>
  </si>
  <si>
    <t>Visina stabla na kojoj može doći do preloma</t>
  </si>
  <si>
    <t>H prel. =</t>
  </si>
  <si>
    <t>Koeficijent vitkosti stabla  K=H/d</t>
  </si>
  <si>
    <t>K&lt;80</t>
  </si>
  <si>
    <t xml:space="preserve">        K =</t>
  </si>
  <si>
    <t>K=90-100</t>
  </si>
  <si>
    <t>nedovoljna stabilnost        - postoji opasnost od oštećivanja stabla</t>
  </si>
  <si>
    <t>K&lt;100</t>
  </si>
  <si>
    <t>Proračun ugroženosti stabala od oštećivanja vetrom</t>
  </si>
  <si>
    <t>Otklon težišta krune (L)=3-6 m</t>
  </si>
  <si>
    <t>U polja ožnačena žutom bojom uneti potrebne podatke</t>
  </si>
  <si>
    <t>zadovoljavajuća stabilnost - nema opasnosti od loma i izvala</t>
  </si>
  <si>
    <t>C= 0,46-0,55 (bor, hr, ariš)</t>
  </si>
  <si>
    <t>C= 0,40-0,45 (breza, jasika, ariš)</t>
  </si>
  <si>
    <t>C = 0,55-0,65 (sm, jl, bk)</t>
  </si>
  <si>
    <t xml:space="preserve">Koeficijent otpora stabla </t>
  </si>
  <si>
    <t xml:space="preserve">Kritične vrednosti otpornosti </t>
  </si>
  <si>
    <t>Bor - 420 kg/cm/2</t>
  </si>
  <si>
    <t>(L)=3-6 m</t>
  </si>
  <si>
    <t xml:space="preserve">Otklon težišta krune </t>
  </si>
  <si>
    <r>
      <t>D</t>
    </r>
    <r>
      <rPr>
        <sz val="8"/>
        <rFont val="Arial"/>
        <family val="2"/>
      </rPr>
      <t xml:space="preserve">1,3 </t>
    </r>
    <r>
      <rPr>
        <sz val="10"/>
        <rFont val="Arial"/>
        <family val="0"/>
      </rPr>
      <t>(cm)</t>
    </r>
  </si>
  <si>
    <t>velika nestabilnost          - stablo veoma ugroženo</t>
  </si>
  <si>
    <t>Moment otpora temeljnce stabla W=(d^3*PI)/32</t>
  </si>
  <si>
    <t>Brzina vetra na visini Hsk je V=((2,22*hsr.kr/2 - 0,83(h/2)^2 + 0,1(h/2)^3 - 0,0029(h/2)^4)) * (0,076 Vo + 0,063)</t>
  </si>
  <si>
    <t>udaru vetra</t>
  </si>
  <si>
    <t>ştabala za odredjenu vrstu</t>
  </si>
  <si>
    <t>drveta</t>
  </si>
  <si>
    <t>Smrca - 370 kg/cm/2</t>
  </si>
  <si>
    <t>Hrast  - 576 kg/cm/2</t>
  </si>
  <si>
    <t>Bukva - 548 kg/cm/2</t>
  </si>
  <si>
    <t>Hrast  -  576 kg/cm/2</t>
  </si>
  <si>
    <t>C = 0,46-0,55 (bor, hr, ariš)</t>
  </si>
  <si>
    <t>Bor    -  420 kg/cm/2</t>
  </si>
  <si>
    <t>U polja ožnačena žutom bojom uneti potrebne podatke (dat je primer za Smrču)</t>
  </si>
  <si>
    <t>Max brzina vetra na visini od 10 m</t>
  </si>
  <si>
    <t>Brzina vetra na sredini krune</t>
  </si>
  <si>
    <t>Prečnik pri kome stablo trpi najveći pritisak  - može doći do preloma</t>
  </si>
  <si>
    <t xml:space="preserve">Dužina krune </t>
  </si>
  <si>
    <t xml:space="preserve">Visina stabla </t>
  </si>
  <si>
    <t xml:space="preserve">Prečnik (širina) krune </t>
  </si>
  <si>
    <r>
      <t>D</t>
    </r>
    <r>
      <rPr>
        <sz val="10"/>
        <rFont val="Arial"/>
        <family val="2"/>
      </rPr>
      <t>1,3</t>
    </r>
    <r>
      <rPr>
        <sz val="12"/>
        <rFont val="Arial"/>
        <family val="0"/>
      </rPr>
      <t xml:space="preserve"> (cm)</t>
    </r>
  </si>
  <si>
    <t>Otklon težišta krune (m)</t>
  </si>
  <si>
    <t>L = 3-6</t>
  </si>
  <si>
    <r>
      <t>Prsni prečnik stabla  (D</t>
    </r>
    <r>
      <rPr>
        <sz val="8"/>
        <rFont val="Arial"/>
        <family val="2"/>
      </rPr>
      <t>1,3</t>
    </r>
    <r>
      <rPr>
        <sz val="12"/>
        <rFont val="Arial"/>
        <family val="0"/>
      </rPr>
      <t>m)</t>
    </r>
  </si>
  <si>
    <t>C = 0,40-0,45 (breza, jasika)</t>
  </si>
  <si>
    <t>cm/m</t>
  </si>
  <si>
    <t>Sila vetra (R)=(C*S*p*V^2)/2</t>
  </si>
  <si>
    <t>V =</t>
  </si>
  <si>
    <t>Sm</t>
  </si>
</sst>
</file>

<file path=xl/styles.xml><?xml version="1.0" encoding="utf-8"?>
<styleSheet xmlns="http://schemas.openxmlformats.org/spreadsheetml/2006/main">
  <numFmts count="2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</numFmts>
  <fonts count="12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2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172" fontId="0" fillId="2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2" fontId="0" fillId="3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4" borderId="0" xfId="0" applyFill="1" applyAlignment="1">
      <alignment/>
    </xf>
    <xf numFmtId="172" fontId="0" fillId="4" borderId="0" xfId="0" applyNumberFormat="1" applyFill="1" applyAlignment="1">
      <alignment/>
    </xf>
    <xf numFmtId="0" fontId="9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3" borderId="0" xfId="0" applyFont="1" applyFill="1" applyBorder="1" applyAlignment="1">
      <alignment/>
    </xf>
    <xf numFmtId="2" fontId="8" fillId="3" borderId="0" xfId="0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2" borderId="22" xfId="0" applyFont="1" applyFill="1" applyBorder="1" applyAlignment="1">
      <alignment/>
    </xf>
    <xf numFmtId="0" fontId="8" fillId="2" borderId="23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2" fontId="8" fillId="3" borderId="12" xfId="0" applyNumberFormat="1" applyFont="1" applyFill="1" applyBorder="1" applyAlignment="1">
      <alignment/>
    </xf>
    <xf numFmtId="0" fontId="8" fillId="2" borderId="20" xfId="0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8" fillId="2" borderId="24" xfId="0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172" fontId="8" fillId="0" borderId="29" xfId="0" applyNumberFormat="1" applyFont="1" applyBorder="1" applyAlignment="1">
      <alignment/>
    </xf>
    <xf numFmtId="172" fontId="8" fillId="0" borderId="28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172" fontId="8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7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5"/>
  <sheetViews>
    <sheetView tabSelected="1" workbookViewId="0" topLeftCell="A1">
      <selection activeCell="F25" sqref="F25"/>
    </sheetView>
  </sheetViews>
  <sheetFormatPr defaultColWidth="9.140625" defaultRowHeight="12.75"/>
  <cols>
    <col min="2" max="2" width="21.421875" style="0" customWidth="1"/>
    <col min="3" max="3" width="13.421875" style="0" customWidth="1"/>
    <col min="4" max="4" width="12.28125" style="0" customWidth="1"/>
    <col min="5" max="5" width="9.57421875" style="0" customWidth="1"/>
    <col min="9" max="9" width="9.00390625" style="0" customWidth="1"/>
    <col min="10" max="10" width="9.7109375" style="0" customWidth="1"/>
    <col min="11" max="11" width="7.28125" style="0" customWidth="1"/>
    <col min="12" max="12" width="6.8515625" style="0" customWidth="1"/>
    <col min="13" max="13" width="10.8515625" style="0" bestFit="1" customWidth="1"/>
  </cols>
  <sheetData>
    <row r="1" spans="1:3" ht="18">
      <c r="A1" s="70" t="s">
        <v>59</v>
      </c>
      <c r="B1" s="1"/>
      <c r="C1" s="1"/>
    </row>
    <row r="2" spans="1:3" ht="15.75">
      <c r="A2" s="1"/>
      <c r="B2" s="1"/>
      <c r="C2" s="1"/>
    </row>
    <row r="3" spans="1:3" ht="15.75">
      <c r="A3" s="11" t="s">
        <v>84</v>
      </c>
      <c r="B3" s="1"/>
      <c r="C3" s="1"/>
    </row>
    <row r="4" ht="13.5" thickBot="1"/>
    <row r="5" spans="1:6" ht="15">
      <c r="A5" s="48" t="s">
        <v>0</v>
      </c>
      <c r="B5" s="60"/>
      <c r="C5" s="49"/>
      <c r="D5" s="50" t="s">
        <v>99</v>
      </c>
      <c r="E5" s="51">
        <v>1</v>
      </c>
      <c r="F5" s="3"/>
    </row>
    <row r="6" spans="1:5" ht="15">
      <c r="A6" s="42" t="s">
        <v>91</v>
      </c>
      <c r="B6" s="34"/>
      <c r="C6" s="40"/>
      <c r="D6" s="54"/>
      <c r="E6" s="55">
        <v>25</v>
      </c>
    </row>
    <row r="7" spans="1:5" ht="15">
      <c r="A7" s="23" t="s">
        <v>1</v>
      </c>
      <c r="B7" s="35"/>
      <c r="C7" s="25"/>
      <c r="D7" s="46"/>
      <c r="E7" s="52">
        <v>25</v>
      </c>
    </row>
    <row r="8" spans="1:5" ht="15">
      <c r="A8" s="23" t="s">
        <v>2</v>
      </c>
      <c r="B8" s="35"/>
      <c r="C8" s="25"/>
      <c r="D8" s="26"/>
      <c r="E8" s="52">
        <v>0.25</v>
      </c>
    </row>
    <row r="9" spans="1:5" ht="15">
      <c r="A9" s="44" t="s">
        <v>3</v>
      </c>
      <c r="B9" s="37"/>
      <c r="C9" s="36"/>
      <c r="D9" s="56"/>
      <c r="E9" s="57">
        <v>0.8</v>
      </c>
    </row>
    <row r="10" spans="1:5" ht="15">
      <c r="A10" s="23"/>
      <c r="B10" s="35"/>
      <c r="C10" s="25"/>
      <c r="D10" s="47"/>
      <c r="E10" s="53"/>
    </row>
    <row r="11" spans="1:5" ht="15">
      <c r="A11" s="41" t="s">
        <v>4</v>
      </c>
      <c r="B11" s="38"/>
      <c r="C11" s="39"/>
      <c r="D11" s="58"/>
      <c r="E11" s="59">
        <v>25</v>
      </c>
    </row>
    <row r="12" spans="1:5" ht="15">
      <c r="A12" s="23"/>
      <c r="B12" s="35"/>
      <c r="C12" s="25"/>
      <c r="D12" s="46"/>
      <c r="E12" s="53"/>
    </row>
    <row r="13" spans="1:5" ht="15">
      <c r="A13" s="41" t="s">
        <v>92</v>
      </c>
      <c r="B13" s="38"/>
      <c r="C13" s="39" t="s">
        <v>93</v>
      </c>
      <c r="D13" s="58"/>
      <c r="E13" s="59">
        <v>3</v>
      </c>
    </row>
    <row r="14" spans="1:5" ht="15">
      <c r="A14" s="23"/>
      <c r="B14" s="35"/>
      <c r="C14" s="25"/>
      <c r="D14" s="46"/>
      <c r="E14" s="53"/>
    </row>
    <row r="15" spans="1:5" ht="15">
      <c r="A15" s="42" t="s">
        <v>66</v>
      </c>
      <c r="B15" s="34"/>
      <c r="C15" s="40" t="s">
        <v>65</v>
      </c>
      <c r="D15" s="54"/>
      <c r="E15" s="55">
        <v>0.6</v>
      </c>
    </row>
    <row r="16" spans="1:5" ht="15">
      <c r="A16" s="23" t="s">
        <v>75</v>
      </c>
      <c r="B16" s="35"/>
      <c r="C16" s="25" t="s">
        <v>82</v>
      </c>
      <c r="D16" s="46"/>
      <c r="E16" s="24"/>
    </row>
    <row r="17" spans="1:5" ht="15">
      <c r="A17" s="44"/>
      <c r="B17" s="37"/>
      <c r="C17" s="36" t="s">
        <v>95</v>
      </c>
      <c r="D17" s="36"/>
      <c r="E17" s="45"/>
    </row>
    <row r="18" spans="1:5" ht="15">
      <c r="A18" s="23"/>
      <c r="B18" s="35"/>
      <c r="C18" s="25"/>
      <c r="D18" s="25"/>
      <c r="E18" s="24"/>
    </row>
    <row r="19" spans="1:5" ht="15">
      <c r="A19" s="42" t="s">
        <v>67</v>
      </c>
      <c r="B19" s="34"/>
      <c r="C19" s="40" t="s">
        <v>78</v>
      </c>
      <c r="D19" s="40"/>
      <c r="E19" s="55">
        <v>370</v>
      </c>
    </row>
    <row r="20" spans="1:13" ht="15">
      <c r="A20" s="23" t="s">
        <v>76</v>
      </c>
      <c r="B20" s="35"/>
      <c r="C20" s="25" t="s">
        <v>83</v>
      </c>
      <c r="D20" s="25"/>
      <c r="E20" s="24"/>
      <c r="L20" s="17"/>
      <c r="M20" s="3"/>
    </row>
    <row r="21" spans="1:12" ht="15">
      <c r="A21" s="23" t="s">
        <v>77</v>
      </c>
      <c r="B21" s="35"/>
      <c r="C21" s="25" t="s">
        <v>79</v>
      </c>
      <c r="D21" s="25"/>
      <c r="E21" s="24"/>
      <c r="L21" s="17"/>
    </row>
    <row r="22" spans="1:5" ht="15.75" thickBot="1">
      <c r="A22" s="27"/>
      <c r="B22" s="61"/>
      <c r="C22" s="28" t="s">
        <v>80</v>
      </c>
      <c r="D22" s="28"/>
      <c r="E22" s="29"/>
    </row>
    <row r="25" ht="12.75">
      <c r="N25" s="8"/>
    </row>
  </sheetData>
  <printOptions/>
  <pageMargins left="0.75" right="0.75" top="1" bottom="1" header="0.5" footer="0.5"/>
  <pageSetup horizontalDpi="240" verticalDpi="24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72"/>
  <sheetViews>
    <sheetView workbookViewId="0" topLeftCell="A1">
      <selection activeCell="D74" sqref="D74"/>
    </sheetView>
  </sheetViews>
  <sheetFormatPr defaultColWidth="9.140625" defaultRowHeight="12.75"/>
  <cols>
    <col min="2" max="2" width="14.8515625" style="0" customWidth="1"/>
    <col min="3" max="3" width="13.421875" style="0" customWidth="1"/>
    <col min="5" max="5" width="9.57421875" style="0" customWidth="1"/>
    <col min="9" max="9" width="9.00390625" style="0" customWidth="1"/>
    <col min="10" max="10" width="9.7109375" style="0" customWidth="1"/>
    <col min="11" max="11" width="7.28125" style="0" customWidth="1"/>
    <col min="12" max="12" width="6.8515625" style="0" customWidth="1"/>
    <col min="13" max="13" width="10.8515625" style="0" bestFit="1" customWidth="1"/>
  </cols>
  <sheetData>
    <row r="1" spans="1:3" ht="15.75">
      <c r="A1" s="1" t="s">
        <v>59</v>
      </c>
      <c r="B1" s="1"/>
      <c r="C1" s="1"/>
    </row>
    <row r="2" spans="1:3" ht="15.75">
      <c r="A2" s="1"/>
      <c r="B2" s="1"/>
      <c r="C2" s="1"/>
    </row>
    <row r="3" spans="1:3" ht="15.75">
      <c r="A3" s="11" t="s">
        <v>61</v>
      </c>
      <c r="B3" s="1"/>
      <c r="C3" s="1"/>
    </row>
    <row r="5" spans="1:6" ht="12.75">
      <c r="A5" t="s">
        <v>0</v>
      </c>
      <c r="D5" s="2" t="str">
        <f>UnosPodataka!D5</f>
        <v>Sm</v>
      </c>
      <c r="E5" s="2">
        <f>UnosPodataka!E5</f>
        <v>1</v>
      </c>
      <c r="F5" s="2">
        <v>2</v>
      </c>
    </row>
    <row r="6" spans="1:5" ht="12.75">
      <c r="A6" t="s">
        <v>71</v>
      </c>
      <c r="D6" s="2"/>
      <c r="E6" s="2">
        <f>UnosPodataka!E6</f>
        <v>25</v>
      </c>
    </row>
    <row r="7" spans="1:5" ht="12.75">
      <c r="A7" t="s">
        <v>1</v>
      </c>
      <c r="D7" s="2"/>
      <c r="E7" s="2">
        <f>UnosPodataka!E7</f>
        <v>25</v>
      </c>
    </row>
    <row r="8" spans="1:5" ht="12.75">
      <c r="A8" t="s">
        <v>2</v>
      </c>
      <c r="D8" s="12">
        <f>E7*E8</f>
        <v>6.25</v>
      </c>
      <c r="E8" s="2">
        <f>UnosPodataka!E8</f>
        <v>0.25</v>
      </c>
    </row>
    <row r="9" spans="1:5" ht="12.75">
      <c r="A9" t="s">
        <v>3</v>
      </c>
      <c r="D9" s="13">
        <f>D8*E9</f>
        <v>5</v>
      </c>
      <c r="E9" s="2">
        <f>UnosPodataka!E9</f>
        <v>0.8</v>
      </c>
    </row>
    <row r="10" spans="4:5" ht="12.75">
      <c r="D10" s="13"/>
      <c r="E10" s="3"/>
    </row>
    <row r="11" spans="1:5" ht="12.75">
      <c r="A11" t="s">
        <v>4</v>
      </c>
      <c r="D11" s="2"/>
      <c r="E11" s="2">
        <f>UnosPodataka!E11</f>
        <v>25</v>
      </c>
    </row>
    <row r="12" spans="4:5" ht="12.75">
      <c r="D12" s="3"/>
      <c r="E12" s="3"/>
    </row>
    <row r="13" spans="1:5" ht="12.75">
      <c r="A13" t="s">
        <v>70</v>
      </c>
      <c r="C13" t="s">
        <v>69</v>
      </c>
      <c r="D13" s="3"/>
      <c r="E13" s="2">
        <f>UnosPodataka!E13</f>
        <v>3</v>
      </c>
    </row>
    <row r="14" spans="4:5" ht="12.75">
      <c r="D14" s="3"/>
      <c r="E14" s="3"/>
    </row>
    <row r="15" spans="1:5" ht="12.75">
      <c r="A15" t="s">
        <v>66</v>
      </c>
      <c r="C15" t="s">
        <v>65</v>
      </c>
      <c r="D15" s="3"/>
      <c r="E15" s="2">
        <f>UnosPodataka!E15</f>
        <v>0.6</v>
      </c>
    </row>
    <row r="16" spans="3:4" ht="12.75">
      <c r="C16" t="s">
        <v>63</v>
      </c>
      <c r="D16" s="3"/>
    </row>
    <row r="17" ht="12.75">
      <c r="C17" t="s">
        <v>64</v>
      </c>
    </row>
    <row r="19" spans="1:5" ht="12.75">
      <c r="A19" t="s">
        <v>67</v>
      </c>
      <c r="C19" t="s">
        <v>68</v>
      </c>
      <c r="E19" s="2">
        <f>UnosPodataka!E19</f>
        <v>370</v>
      </c>
    </row>
    <row r="20" spans="3:13" ht="12.75">
      <c r="C20" t="s">
        <v>78</v>
      </c>
      <c r="K20" t="s">
        <v>12</v>
      </c>
      <c r="L20" s="17" t="s">
        <v>8</v>
      </c>
      <c r="M20" s="18">
        <f>IF(E5=1,(J25/M38),(J24/M38))</f>
        <v>8.892175593214452</v>
      </c>
    </row>
    <row r="21" spans="3:13" ht="12.75">
      <c r="C21" t="s">
        <v>81</v>
      </c>
      <c r="K21" t="s">
        <v>15</v>
      </c>
      <c r="L21" s="17" t="s">
        <v>8</v>
      </c>
      <c r="M21">
        <f>IF(F5=2,(J24/M38))</f>
        <v>13.960715681346686</v>
      </c>
    </row>
    <row r="22" ht="12.75">
      <c r="C22" t="s">
        <v>80</v>
      </c>
    </row>
    <row r="23" spans="1:14" ht="15">
      <c r="A23" s="4" t="s">
        <v>5</v>
      </c>
      <c r="B23" s="4"/>
      <c r="C23" s="4"/>
      <c r="D23" s="4"/>
      <c r="E23" s="4"/>
      <c r="F23" s="5" t="s">
        <v>6</v>
      </c>
      <c r="G23" s="5"/>
      <c r="H23" s="5"/>
      <c r="I23" s="6" t="s">
        <v>7</v>
      </c>
      <c r="J23" s="4"/>
      <c r="K23" s="4"/>
      <c r="L23" s="16" t="s">
        <v>8</v>
      </c>
      <c r="M23" s="71">
        <f>M25/M38</f>
        <v>8.892175593214452</v>
      </c>
      <c r="N23" s="7" t="s">
        <v>9</v>
      </c>
    </row>
    <row r="24" spans="9:13" ht="12.75">
      <c r="I24" s="14" t="s">
        <v>11</v>
      </c>
      <c r="J24">
        <f>IF(F5=2,(H27*M28))</f>
        <v>21404.612909877244</v>
      </c>
      <c r="K24" t="s">
        <v>15</v>
      </c>
      <c r="L24" s="14" t="s">
        <v>11</v>
      </c>
      <c r="M24">
        <f>M27*M28</f>
        <v>21404.612909877244</v>
      </c>
    </row>
    <row r="25" spans="1:13" ht="12.75">
      <c r="A25" t="s">
        <v>10</v>
      </c>
      <c r="I25" s="14" t="s">
        <v>11</v>
      </c>
      <c r="J25" s="18">
        <f>IF(E5=1,(H26*M28),H27*M28)</f>
        <v>13633.511407565125</v>
      </c>
      <c r="K25" t="s">
        <v>12</v>
      </c>
      <c r="L25" s="14" t="s">
        <v>11</v>
      </c>
      <c r="M25">
        <f>M26*M28</f>
        <v>13633.511407565125</v>
      </c>
    </row>
    <row r="26" spans="1:14" ht="12.75">
      <c r="A26" t="s">
        <v>97</v>
      </c>
      <c r="G26" s="14" t="s">
        <v>13</v>
      </c>
      <c r="H26" s="18">
        <f>IF(E5=1,(M29*M32*M36*M41^2)/2,(M29*M33*M36*M41^2)/2)</f>
        <v>4544.503802521708</v>
      </c>
      <c r="K26" t="s">
        <v>12</v>
      </c>
      <c r="L26" s="14" t="s">
        <v>13</v>
      </c>
      <c r="M26">
        <f>(M29*M32*M36*M41^2)/2</f>
        <v>4544.503802521708</v>
      </c>
      <c r="N26" t="s">
        <v>14</v>
      </c>
    </row>
    <row r="27" spans="7:14" ht="12.75">
      <c r="G27" s="14" t="s">
        <v>13</v>
      </c>
      <c r="H27" s="3">
        <f>IF(F5=2,(M29*M33*M36*M41^2)/2)</f>
        <v>7134.870969959082</v>
      </c>
      <c r="K27" t="s">
        <v>15</v>
      </c>
      <c r="L27" s="15" t="s">
        <v>13</v>
      </c>
      <c r="M27">
        <f>(M29*M33*M36*M41^2)/2</f>
        <v>7134.870969959082</v>
      </c>
      <c r="N27" t="s">
        <v>14</v>
      </c>
    </row>
    <row r="28" spans="1:14" ht="12.75">
      <c r="A28" t="s">
        <v>60</v>
      </c>
      <c r="L28" s="14" t="s">
        <v>16</v>
      </c>
      <c r="M28" s="3">
        <f>E13</f>
        <v>3</v>
      </c>
      <c r="N28" t="s">
        <v>17</v>
      </c>
    </row>
    <row r="29" spans="1:13" ht="12.75">
      <c r="A29" t="s">
        <v>18</v>
      </c>
      <c r="L29" s="14" t="s">
        <v>19</v>
      </c>
      <c r="M29" s="3">
        <f>E15</f>
        <v>0.6</v>
      </c>
    </row>
    <row r="30" ht="12.75">
      <c r="C30" t="s">
        <v>20</v>
      </c>
    </row>
    <row r="31" ht="12.75">
      <c r="C31" t="s">
        <v>21</v>
      </c>
    </row>
    <row r="32" spans="1:14" ht="12.75">
      <c r="A32" t="s">
        <v>22</v>
      </c>
      <c r="H32" s="14" t="s">
        <v>23</v>
      </c>
      <c r="I32" s="18">
        <f>IF(E5=1,(M34*M35/2),(D8*D9*3.14)/4)</f>
        <v>15.625</v>
      </c>
      <c r="K32" t="s">
        <v>12</v>
      </c>
      <c r="L32" s="14" t="s">
        <v>23</v>
      </c>
      <c r="M32">
        <f>M34*M35/2</f>
        <v>15.625</v>
      </c>
      <c r="N32" t="s">
        <v>24</v>
      </c>
    </row>
    <row r="33" spans="3:14" ht="12.75">
      <c r="C33" t="s">
        <v>25</v>
      </c>
      <c r="E33" t="s">
        <v>26</v>
      </c>
      <c r="H33" s="14" t="s">
        <v>23</v>
      </c>
      <c r="I33">
        <f>IF(F5=2,(D8*D9*3.14)/4)</f>
        <v>24.53125</v>
      </c>
      <c r="K33" t="s">
        <v>15</v>
      </c>
      <c r="L33" s="14" t="s">
        <v>23</v>
      </c>
      <c r="M33">
        <f>(D8*D9*3.14)/4</f>
        <v>24.53125</v>
      </c>
      <c r="N33" t="s">
        <v>24</v>
      </c>
    </row>
    <row r="34" spans="1:14" ht="12.75">
      <c r="A34" t="s">
        <v>27</v>
      </c>
      <c r="L34" s="14" t="s">
        <v>28</v>
      </c>
      <c r="M34" s="8">
        <f>D8</f>
        <v>6.25</v>
      </c>
      <c r="N34" t="s">
        <v>17</v>
      </c>
    </row>
    <row r="35" spans="1:14" ht="12.75">
      <c r="A35" t="s">
        <v>29</v>
      </c>
      <c r="L35" s="14" t="s">
        <v>30</v>
      </c>
      <c r="M35" s="8">
        <f>D9</f>
        <v>5</v>
      </c>
      <c r="N35" t="s">
        <v>17</v>
      </c>
    </row>
    <row r="36" spans="1:14" ht="12.75">
      <c r="A36" t="s">
        <v>31</v>
      </c>
      <c r="L36" s="14" t="s">
        <v>32</v>
      </c>
      <c r="M36">
        <v>1.225</v>
      </c>
      <c r="N36" t="s">
        <v>33</v>
      </c>
    </row>
    <row r="38" spans="1:14" ht="12.75">
      <c r="A38" t="s">
        <v>73</v>
      </c>
      <c r="L38" s="14" t="s">
        <v>34</v>
      </c>
      <c r="M38">
        <f>(E6^3*3.14)/32</f>
        <v>1533.203125</v>
      </c>
      <c r="N38" t="s">
        <v>35</v>
      </c>
    </row>
    <row r="40" spans="1:14" ht="12.75">
      <c r="A40" t="s">
        <v>36</v>
      </c>
      <c r="L40" s="14" t="s">
        <v>37</v>
      </c>
      <c r="M40" s="12">
        <f>E7-M34/2</f>
        <v>21.875</v>
      </c>
      <c r="N40" t="s">
        <v>17</v>
      </c>
    </row>
    <row r="41" spans="1:14" ht="12.75">
      <c r="A41" t="s">
        <v>74</v>
      </c>
      <c r="L41" s="14" t="s">
        <v>98</v>
      </c>
      <c r="M41" s="12">
        <f>((2.22*M40/2)-(0.83*(M40/2)^2)+(0.1*(M40/2)^3)-(0.0029*(M40/2)^4))*(0.076*E11+0.063)</f>
        <v>28.132255356788633</v>
      </c>
      <c r="N41" t="s">
        <v>38</v>
      </c>
    </row>
    <row r="44" spans="1:14" ht="12.75">
      <c r="A44" t="s">
        <v>39</v>
      </c>
      <c r="M44">
        <v>420</v>
      </c>
      <c r="N44" t="s">
        <v>9</v>
      </c>
    </row>
    <row r="45" spans="7:14" ht="12.75">
      <c r="G45" t="s">
        <v>40</v>
      </c>
      <c r="M45">
        <v>370</v>
      </c>
      <c r="N45" t="s">
        <v>41</v>
      </c>
    </row>
    <row r="46" spans="7:14" ht="12.75">
      <c r="G46" t="s">
        <v>42</v>
      </c>
      <c r="M46">
        <v>576</v>
      </c>
      <c r="N46" t="s">
        <v>43</v>
      </c>
    </row>
    <row r="47" spans="7:14" ht="12.75">
      <c r="G47" t="s">
        <v>44</v>
      </c>
      <c r="M47">
        <v>548</v>
      </c>
      <c r="N47" t="s">
        <v>45</v>
      </c>
    </row>
    <row r="49" spans="1:14" ht="12.75">
      <c r="A49" t="s">
        <v>46</v>
      </c>
      <c r="I49" s="9">
        <f>(32*M25)/(3.14*M45)</f>
        <v>375.5141720107454</v>
      </c>
      <c r="J49" s="19">
        <f>(32*J25)/(3.14*E19)</f>
        <v>375.5141720107454</v>
      </c>
      <c r="L49" t="s">
        <v>47</v>
      </c>
      <c r="M49" s="10">
        <f>J49^0.333333</f>
        <v>7.214527931319406</v>
      </c>
      <c r="N49" t="s">
        <v>48</v>
      </c>
    </row>
    <row r="50" spans="1:13" ht="12.75">
      <c r="A50" t="s">
        <v>49</v>
      </c>
      <c r="H50" t="s">
        <v>50</v>
      </c>
      <c r="I50" s="18">
        <f>E6/(E7-1.3)</f>
        <v>1.0548523206751055</v>
      </c>
      <c r="J50" t="s">
        <v>96</v>
      </c>
      <c r="M50" s="10"/>
    </row>
    <row r="51" spans="1:14" ht="12.75">
      <c r="A51" t="s">
        <v>51</v>
      </c>
      <c r="L51" t="s">
        <v>52</v>
      </c>
      <c r="M51" s="8">
        <f>((E6-M49)/I50)+1.3</f>
        <v>18.160627521109205</v>
      </c>
      <c r="N51" t="s">
        <v>17</v>
      </c>
    </row>
    <row r="52" ht="12.75">
      <c r="M52" s="8"/>
    </row>
    <row r="53" spans="1:13" ht="15.75">
      <c r="A53" s="1" t="s">
        <v>53</v>
      </c>
      <c r="B53" s="1"/>
      <c r="C53" s="1"/>
      <c r="D53" s="1"/>
      <c r="E53" s="1"/>
      <c r="F53" t="s">
        <v>54</v>
      </c>
      <c r="G53" t="s">
        <v>62</v>
      </c>
      <c r="L53" s="7" t="s">
        <v>55</v>
      </c>
      <c r="M53" s="7" t="e">
        <f>D7*100/D6</f>
        <v>#DIV/0!</v>
      </c>
    </row>
    <row r="54" spans="1:7" ht="12.75">
      <c r="A54">
        <v>1.3</v>
      </c>
      <c r="B54">
        <v>30</v>
      </c>
      <c r="F54" t="s">
        <v>56</v>
      </c>
      <c r="G54" t="s">
        <v>57</v>
      </c>
    </row>
    <row r="55" spans="1:7" ht="12.75">
      <c r="A55">
        <v>1.045296</v>
      </c>
      <c r="B55">
        <f aca="true" t="shared" si="0" ref="B55:B70">B54-1.045296</f>
        <v>28.954704</v>
      </c>
      <c r="F55" t="s">
        <v>58</v>
      </c>
      <c r="G55" t="s">
        <v>72</v>
      </c>
    </row>
    <row r="56" spans="1:2" ht="12.75">
      <c r="A56">
        <v>1.045296</v>
      </c>
      <c r="B56">
        <f t="shared" si="0"/>
        <v>27.909408</v>
      </c>
    </row>
    <row r="57" spans="1:14" ht="12.75">
      <c r="A57">
        <v>1.045296</v>
      </c>
      <c r="B57">
        <f t="shared" si="0"/>
        <v>26.864112</v>
      </c>
      <c r="N57" s="8"/>
    </row>
    <row r="58" spans="1:2" ht="12.75">
      <c r="A58">
        <v>1.045296</v>
      </c>
      <c r="B58">
        <f t="shared" si="0"/>
        <v>25.818815999999998</v>
      </c>
    </row>
    <row r="59" spans="1:2" ht="12.75">
      <c r="A59">
        <v>1.045296</v>
      </c>
      <c r="B59">
        <f t="shared" si="0"/>
        <v>24.773519999999998</v>
      </c>
    </row>
    <row r="60" spans="1:2" ht="12.75">
      <c r="A60">
        <v>1.045296</v>
      </c>
      <c r="B60">
        <f t="shared" si="0"/>
        <v>23.728223999999997</v>
      </c>
    </row>
    <row r="61" spans="1:2" ht="12.75">
      <c r="A61">
        <v>1.045296</v>
      </c>
      <c r="B61">
        <f t="shared" si="0"/>
        <v>22.682927999999997</v>
      </c>
    </row>
    <row r="62" spans="1:2" ht="12.75">
      <c r="A62">
        <v>1.045296</v>
      </c>
      <c r="B62">
        <f t="shared" si="0"/>
        <v>21.637631999999996</v>
      </c>
    </row>
    <row r="63" spans="1:2" ht="12.75">
      <c r="A63">
        <v>1.045296</v>
      </c>
      <c r="B63">
        <f t="shared" si="0"/>
        <v>20.592335999999996</v>
      </c>
    </row>
    <row r="64" spans="1:2" ht="12.75">
      <c r="A64">
        <v>1.045296</v>
      </c>
      <c r="B64">
        <f t="shared" si="0"/>
        <v>19.547039999999996</v>
      </c>
    </row>
    <row r="65" spans="1:2" ht="12.75">
      <c r="A65">
        <v>1.045296</v>
      </c>
      <c r="B65">
        <f t="shared" si="0"/>
        <v>18.501743999999995</v>
      </c>
    </row>
    <row r="66" spans="1:2" ht="12.75">
      <c r="A66">
        <v>1.045296</v>
      </c>
      <c r="B66">
        <f t="shared" si="0"/>
        <v>17.456447999999995</v>
      </c>
    </row>
    <row r="67" spans="1:2" ht="12.75">
      <c r="A67">
        <v>1.045296</v>
      </c>
      <c r="B67">
        <f t="shared" si="0"/>
        <v>16.411151999999994</v>
      </c>
    </row>
    <row r="68" spans="1:2" ht="12.75">
      <c r="A68">
        <v>1.045296</v>
      </c>
      <c r="B68">
        <f t="shared" si="0"/>
        <v>15.365855999999994</v>
      </c>
    </row>
    <row r="69" spans="1:2" ht="12.75">
      <c r="A69">
        <v>1.045296</v>
      </c>
      <c r="B69">
        <f t="shared" si="0"/>
        <v>14.320559999999993</v>
      </c>
    </row>
    <row r="70" spans="1:2" ht="12.75">
      <c r="A70">
        <v>1.045296</v>
      </c>
      <c r="B70">
        <f t="shared" si="0"/>
        <v>13.275263999999993</v>
      </c>
    </row>
    <row r="72" ht="12.75">
      <c r="A72">
        <f>SUM(A55:A70)</f>
        <v>16.724736000000004</v>
      </c>
    </row>
  </sheetData>
  <printOptions/>
  <pageMargins left="0.75" right="0.75" top="1" bottom="1" header="0.5" footer="0.5"/>
  <pageSetup horizontalDpi="240" verticalDpi="24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5"/>
  <sheetViews>
    <sheetView workbookViewId="0" topLeftCell="A1">
      <selection activeCell="C20" sqref="C20"/>
    </sheetView>
  </sheetViews>
  <sheetFormatPr defaultColWidth="9.140625" defaultRowHeight="12.75"/>
  <cols>
    <col min="7" max="7" width="13.28125" style="0" customWidth="1"/>
    <col min="8" max="8" width="9.28125" style="0" customWidth="1"/>
    <col min="9" max="9" width="7.421875" style="0" customWidth="1"/>
  </cols>
  <sheetData>
    <row r="1" ht="15.75">
      <c r="A1" s="1"/>
    </row>
    <row r="2" ht="18">
      <c r="A2" s="70" t="s">
        <v>59</v>
      </c>
    </row>
    <row r="3" ht="13.5" thickBot="1"/>
    <row r="4" spans="1:9" ht="16.5" thickBot="1">
      <c r="A4" s="30" t="s">
        <v>0</v>
      </c>
      <c r="B4" s="31"/>
      <c r="C4" s="31"/>
      <c r="D4" s="31"/>
      <c r="E4" s="31"/>
      <c r="F4" s="31"/>
      <c r="G4" s="31"/>
      <c r="H4" s="62" t="str">
        <f>Proracun!D5</f>
        <v>Sm</v>
      </c>
      <c r="I4" s="32"/>
    </row>
    <row r="5" spans="1:9" ht="12.75">
      <c r="A5" s="20"/>
      <c r="B5" s="21"/>
      <c r="C5" s="21"/>
      <c r="D5" s="21"/>
      <c r="E5" s="21"/>
      <c r="F5" s="21"/>
      <c r="G5" s="21"/>
      <c r="H5" s="63"/>
      <c r="I5" s="22"/>
    </row>
    <row r="6" spans="1:9" ht="15">
      <c r="A6" s="42" t="s">
        <v>94</v>
      </c>
      <c r="B6" s="33"/>
      <c r="C6" s="33"/>
      <c r="D6" s="33"/>
      <c r="E6" s="33"/>
      <c r="F6" s="33"/>
      <c r="G6" s="33"/>
      <c r="H6" s="64">
        <f>Proracun!E6</f>
        <v>25</v>
      </c>
      <c r="I6" s="43" t="s">
        <v>48</v>
      </c>
    </row>
    <row r="7" spans="1:9" ht="15">
      <c r="A7" s="23" t="s">
        <v>89</v>
      </c>
      <c r="B7" s="25"/>
      <c r="C7" s="25"/>
      <c r="D7" s="25"/>
      <c r="E7" s="25"/>
      <c r="F7" s="25"/>
      <c r="G7" s="25"/>
      <c r="H7" s="65">
        <f>Proracun!E7</f>
        <v>25</v>
      </c>
      <c r="I7" s="24" t="s">
        <v>17</v>
      </c>
    </row>
    <row r="8" spans="1:9" ht="15">
      <c r="A8" s="42" t="s">
        <v>88</v>
      </c>
      <c r="B8" s="40"/>
      <c r="C8" s="40"/>
      <c r="D8" s="40"/>
      <c r="E8" s="40"/>
      <c r="F8" s="40"/>
      <c r="G8" s="40"/>
      <c r="H8" s="66">
        <f>Proracun!D8</f>
        <v>6.25</v>
      </c>
      <c r="I8" s="43" t="s">
        <v>17</v>
      </c>
    </row>
    <row r="9" spans="1:9" ht="15">
      <c r="A9" s="44" t="s">
        <v>90</v>
      </c>
      <c r="B9" s="36"/>
      <c r="C9" s="36"/>
      <c r="D9" s="36"/>
      <c r="E9" s="36"/>
      <c r="F9" s="36"/>
      <c r="G9" s="36"/>
      <c r="H9" s="67">
        <f>Proracun!D9</f>
        <v>5</v>
      </c>
      <c r="I9" s="45" t="s">
        <v>17</v>
      </c>
    </row>
    <row r="10" spans="1:9" ht="15">
      <c r="A10" s="23"/>
      <c r="B10" s="25"/>
      <c r="C10" s="25"/>
      <c r="D10" s="25"/>
      <c r="E10" s="25"/>
      <c r="F10" s="25"/>
      <c r="G10" s="25"/>
      <c r="H10" s="68"/>
      <c r="I10" s="24"/>
    </row>
    <row r="11" spans="1:9" ht="15">
      <c r="A11" s="42" t="s">
        <v>85</v>
      </c>
      <c r="B11" s="40"/>
      <c r="C11" s="40"/>
      <c r="D11" s="40"/>
      <c r="E11" s="40"/>
      <c r="F11" s="40"/>
      <c r="G11" s="40"/>
      <c r="H11" s="66">
        <f>Proracun!E11</f>
        <v>25</v>
      </c>
      <c r="I11" s="43" t="s">
        <v>38</v>
      </c>
    </row>
    <row r="12" spans="1:9" ht="15">
      <c r="A12" s="44" t="s">
        <v>86</v>
      </c>
      <c r="B12" s="36"/>
      <c r="C12" s="36"/>
      <c r="D12" s="36"/>
      <c r="E12" s="36"/>
      <c r="F12" s="36"/>
      <c r="G12" s="36"/>
      <c r="H12" s="67">
        <f>Proracun!M41</f>
        <v>28.132255356788633</v>
      </c>
      <c r="I12" s="45" t="s">
        <v>38</v>
      </c>
    </row>
    <row r="13" spans="1:9" ht="15">
      <c r="A13" s="23"/>
      <c r="B13" s="25"/>
      <c r="C13" s="25"/>
      <c r="D13" s="25"/>
      <c r="E13" s="25"/>
      <c r="F13" s="25"/>
      <c r="G13" s="25"/>
      <c r="H13" s="68"/>
      <c r="I13" s="24"/>
    </row>
    <row r="14" spans="1:9" ht="15">
      <c r="A14" s="42" t="s">
        <v>87</v>
      </c>
      <c r="B14" s="40"/>
      <c r="C14" s="40"/>
      <c r="D14" s="40"/>
      <c r="E14" s="40"/>
      <c r="F14" s="40"/>
      <c r="G14" s="40"/>
      <c r="H14" s="64">
        <f>Proracun!M49</f>
        <v>7.214527931319406</v>
      </c>
      <c r="I14" s="43" t="s">
        <v>48</v>
      </c>
    </row>
    <row r="15" spans="1:9" ht="15.75" thickBot="1">
      <c r="A15" s="27" t="s">
        <v>51</v>
      </c>
      <c r="B15" s="28"/>
      <c r="C15" s="28"/>
      <c r="D15" s="28"/>
      <c r="E15" s="28"/>
      <c r="F15" s="28"/>
      <c r="G15" s="28"/>
      <c r="H15" s="69">
        <f>Proracun!M51</f>
        <v>18.160627521109205</v>
      </c>
      <c r="I15" s="29" t="s">
        <v>17</v>
      </c>
    </row>
  </sheetData>
  <sheetProtection password="D282" sheet="1" objects="1" scenarios="1" deleteColumns="0" delete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FARESTRY FACULTY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2011-12-21T20:23:42Z</dcterms:created>
  <dcterms:modified xsi:type="dcterms:W3CDTF">2012-03-29T21:04:03Z</dcterms:modified>
  <cp:category/>
  <cp:version/>
  <cp:contentType/>
  <cp:contentStatus/>
</cp:coreProperties>
</file>